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9RR0\"/>
    </mc:Choice>
  </mc:AlternateContent>
  <bookViews>
    <workbookView xWindow="0" yWindow="0" windowWidth="19305" windowHeight="8085"/>
  </bookViews>
  <sheets>
    <sheet name="CT9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3" i="1" l="1"/>
  <c r="Z16" i="1"/>
  <c r="Y16" i="1"/>
  <c r="Y15" i="1"/>
  <c r="Z15" i="1" s="1"/>
  <c r="Z14" i="1"/>
  <c r="Y14" i="1"/>
  <c r="Y13" i="1"/>
  <c r="Z13" i="1" s="1"/>
  <c r="Z12" i="1"/>
  <c r="Y12" i="1"/>
  <c r="Y11" i="1"/>
  <c r="Z11" i="1" s="1"/>
  <c r="Z10" i="1"/>
  <c r="Y10" i="1"/>
  <c r="Y9" i="1"/>
  <c r="Z9" i="1" s="1"/>
  <c r="Z8" i="1"/>
  <c r="Y8" i="1"/>
  <c r="Y7" i="1"/>
  <c r="Z7" i="1" s="1"/>
  <c r="Z6" i="1"/>
  <c r="Y6" i="1"/>
  <c r="Y5" i="1"/>
  <c r="Z5" i="1" s="1"/>
  <c r="Z4" i="1"/>
  <c r="Y4" i="1"/>
  <c r="Y3" i="1"/>
  <c r="Z3" i="1" s="1"/>
  <c r="Z2" i="1"/>
  <c r="Y2" i="1"/>
  <c r="X15" i="1"/>
  <c r="W16" i="1"/>
  <c r="T16" i="1"/>
  <c r="U16" i="1" s="1"/>
  <c r="T15" i="1"/>
  <c r="U15" i="1" s="1"/>
  <c r="T14" i="1"/>
  <c r="U14" i="1" s="1"/>
  <c r="T13" i="1"/>
  <c r="U13" i="1" s="1"/>
  <c r="T12" i="1"/>
  <c r="U12" i="1" s="1"/>
  <c r="T11" i="1"/>
  <c r="U11" i="1" s="1"/>
  <c r="T10" i="1"/>
  <c r="U10" i="1" s="1"/>
  <c r="T9" i="1"/>
  <c r="U9" i="1" s="1"/>
  <c r="T8" i="1"/>
  <c r="U8" i="1" s="1"/>
  <c r="T7" i="1"/>
  <c r="U7" i="1" s="1"/>
  <c r="T6" i="1"/>
  <c r="U6" i="1" s="1"/>
  <c r="T5" i="1"/>
  <c r="U5" i="1" s="1"/>
  <c r="T4" i="1"/>
  <c r="U4" i="1" s="1"/>
  <c r="T3" i="1"/>
  <c r="U3" i="1" s="1"/>
  <c r="T2" i="1"/>
  <c r="V16" i="1" s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N2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2" i="1"/>
  <c r="W6" i="1" l="1"/>
  <c r="W12" i="1"/>
  <c r="W7" i="1"/>
  <c r="U2" i="1"/>
  <c r="W2" i="1" s="1"/>
  <c r="V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AA2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W9" i="1" l="1"/>
  <c r="W3" i="1"/>
  <c r="W8" i="1"/>
  <c r="W15" i="1"/>
  <c r="W13" i="1"/>
  <c r="W14" i="1"/>
  <c r="W11" i="1"/>
  <c r="W5" i="1"/>
  <c r="W10" i="1"/>
  <c r="W4" i="1"/>
  <c r="AB16" i="1"/>
  <c r="AE9" i="1"/>
  <c r="AB8" i="1"/>
  <c r="AB12" i="1"/>
  <c r="AB5" i="1" l="1"/>
  <c r="AB4" i="1"/>
  <c r="AB15" i="1"/>
  <c r="AB11" i="1"/>
  <c r="AB7" i="1"/>
  <c r="AB3" i="1"/>
  <c r="AB14" i="1"/>
  <c r="AB10" i="1"/>
  <c r="AB6" i="1"/>
  <c r="AB2" i="1"/>
  <c r="AB13" i="1"/>
  <c r="AB9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2" i="1"/>
  <c r="AE3" i="1" l="1"/>
  <c r="K11" i="1" s="1"/>
  <c r="M11" i="1" s="1"/>
  <c r="X11" i="1" l="1"/>
  <c r="AC11" i="1" s="1"/>
  <c r="O11" i="1"/>
  <c r="Q11" i="1" s="1"/>
  <c r="K2" i="1"/>
  <c r="M2" i="1" s="1"/>
  <c r="K9" i="1"/>
  <c r="M9" i="1" s="1"/>
  <c r="K5" i="1"/>
  <c r="M5" i="1" s="1"/>
  <c r="K7" i="1"/>
  <c r="M7" i="1" s="1"/>
  <c r="K8" i="1"/>
  <c r="M8" i="1" s="1"/>
  <c r="K13" i="1"/>
  <c r="M13" i="1" s="1"/>
  <c r="K12" i="1"/>
  <c r="M12" i="1" s="1"/>
  <c r="K17" i="1"/>
  <c r="M17" i="1" s="1"/>
  <c r="K15" i="1"/>
  <c r="M15" i="1" s="1"/>
  <c r="K16" i="1"/>
  <c r="M16" i="1" s="1"/>
  <c r="K6" i="1"/>
  <c r="M6" i="1" s="1"/>
  <c r="K3" i="1"/>
  <c r="M3" i="1" s="1"/>
  <c r="K4" i="1"/>
  <c r="M4" i="1" s="1"/>
  <c r="K10" i="1"/>
  <c r="M10" i="1" s="1"/>
  <c r="K14" i="1"/>
  <c r="M14" i="1" s="1"/>
  <c r="X4" i="1" l="1"/>
  <c r="AC4" i="1" s="1"/>
  <c r="O4" i="1"/>
  <c r="Q4" i="1" s="1"/>
  <c r="O8" i="1"/>
  <c r="Q8" i="1" s="1"/>
  <c r="X8" i="1"/>
  <c r="AC8" i="1" s="1"/>
  <c r="O17" i="1"/>
  <c r="Q17" i="1" s="1"/>
  <c r="X17" i="1"/>
  <c r="AC15" i="1"/>
  <c r="O15" i="1"/>
  <c r="Q15" i="1" s="1"/>
  <c r="X2" i="1"/>
  <c r="O2" i="1"/>
  <c r="Q2" i="1" s="1"/>
  <c r="X3" i="1"/>
  <c r="AC3" i="1" s="1"/>
  <c r="O3" i="1"/>
  <c r="Q3" i="1" s="1"/>
  <c r="X7" i="1"/>
  <c r="AC7" i="1" s="1"/>
  <c r="Q7" i="1"/>
  <c r="O7" i="1"/>
  <c r="X14" i="1"/>
  <c r="AC14" i="1" s="1"/>
  <c r="O14" i="1"/>
  <c r="Q14" i="1" s="1"/>
  <c r="X6" i="1"/>
  <c r="AC6" i="1" s="1"/>
  <c r="O6" i="1"/>
  <c r="Q6" i="1" s="1"/>
  <c r="Q12" i="1"/>
  <c r="O12" i="1"/>
  <c r="X12" i="1"/>
  <c r="AC12" i="1" s="1"/>
  <c r="O5" i="1"/>
  <c r="Q5" i="1" s="1"/>
  <c r="X5" i="1"/>
  <c r="AC5" i="1" s="1"/>
  <c r="X10" i="1"/>
  <c r="AC10" i="1" s="1"/>
  <c r="O10" i="1"/>
  <c r="Q10" i="1" s="1"/>
  <c r="O16" i="1"/>
  <c r="Q16" i="1"/>
  <c r="X16" i="1"/>
  <c r="AC16" i="1" s="1"/>
  <c r="X13" i="1"/>
  <c r="AC13" i="1" s="1"/>
  <c r="O13" i="1"/>
  <c r="Q13" i="1" s="1"/>
  <c r="X9" i="1"/>
  <c r="AC9" i="1" s="1"/>
  <c r="O9" i="1"/>
  <c r="Q9" i="1" s="1"/>
  <c r="AC2" i="1" l="1"/>
  <c r="AC23" i="1" s="1"/>
  <c r="X23" i="1"/>
</calcChain>
</file>

<file path=xl/sharedStrings.xml><?xml version="1.0" encoding="utf-8"?>
<sst xmlns="http://schemas.openxmlformats.org/spreadsheetml/2006/main" count="49" uniqueCount="49">
  <si>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</si>
  <si>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</si>
  <si>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</si>
  <si>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</si>
  <si>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</si>
  <si>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</si>
  <si>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</si>
  <si>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</si>
  <si>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</si>
  <si>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</si>
  <si>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CT9R 1 mL</t>
  </si>
  <si>
    <t>CT9R 2 mL</t>
  </si>
  <si>
    <t>CT9R 3 mL</t>
  </si>
  <si>
    <t>CT9R 4 mL</t>
  </si>
  <si>
    <t>CT9R 5 mL</t>
  </si>
  <si>
    <t>CT9R 6 mL</t>
  </si>
  <si>
    <t>CT9R 7 mL</t>
  </si>
  <si>
    <t>CT9R 8 mL</t>
  </si>
  <si>
    <t>CT9R 9 mL</t>
  </si>
  <si>
    <t>CT9R 10 mL</t>
  </si>
  <si>
    <t>CT9R 11 mL</t>
  </si>
  <si>
    <t>CT9R 12 mL</t>
  </si>
  <si>
    <t>CT9R 13 mL</t>
  </si>
  <si>
    <t>CT9R 14 mL</t>
  </si>
  <si>
    <t>CT9R 15 mL</t>
  </si>
  <si>
    <t>CT9R blk</t>
  </si>
  <si>
    <t>DC to 05.06.2018</t>
  </si>
  <si>
    <t>Time from 05.06.2018</t>
  </si>
  <si>
    <t>Decay constant of sr-90=</t>
  </si>
  <si>
    <t>DC factor</t>
  </si>
  <si>
    <t>Measured counts (cpm)</t>
  </si>
  <si>
    <t>Weight of Eluate (g)</t>
  </si>
  <si>
    <t>Weight of Eluate (g) σ</t>
  </si>
  <si>
    <t>Weight Corrected Sr-90 Activity (DPM)</t>
  </si>
  <si>
    <t>Weight Corrected Sr-90 Activity (DPM) σ</t>
  </si>
  <si>
    <t xml:space="preserve">Cumulative Activity (DPM) </t>
  </si>
  <si>
    <t>Cumulative Activity (DPM) σ</t>
  </si>
  <si>
    <t>Activity (bq)</t>
  </si>
  <si>
    <t>Activity (Bq) σ</t>
  </si>
  <si>
    <t>Activity (Bq) σ ^2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</si>
  <si>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</si>
  <si>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</si>
  <si>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</si>
  <si>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</si>
  <si>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</si>
  <si>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</si>
  <si>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</si>
  <si>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Sr-90 activity total</t>
  </si>
  <si>
    <t>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</si>
</sst>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22" fontId="0" fillId="0" borderId="0" xfId="0" applyNumberFormat="1"/>
    <xf numFmtId="0" fontId="0" fillId="2" borderId="0" xfId="0" applyFill="1"/>
    <xf numFmtId="0" fontId="0" fillId="0" borderId="1" xfId="0" applyBorder="1"/>
    <xf numFmtId="0" fontId="0" fillId="3" borderId="1" xfId="0" applyFill="1" applyBorder="1"/>
    <xf numFmtId="0" fontId="0" fillId="0" borderId="2" xfId="0" applyBorder="1"/>
    <xf numFmtId="0" fontId="0" fillId="3" borderId="2" xfId="0" applyFill="1" applyBorder="1"/>
    <xf numFmtId="0" fontId="0" fillId="3" borderId="0" xfId="0" applyFill="1"/>
    <xf numFmtId="166" fontId="0" fillId="3" borderId="2" xfId="0" applyNumberFormat="1" applyFill="1" applyBorder="1"/>
    <xf numFmtId="0" fontId="0" fillId="3" borderId="3" xfId="0" applyFill="1" applyBorder="1"/>
    <xf numFmtId="0" fontId="0" fillId="0" borderId="3" xfId="0" applyBorder="1"/>
    <xf numFmtId="0" fontId="1" fillId="0" borderId="0" xfId="0" applyFont="1"/>
    <xf numFmtId="22" fontId="0" fillId="0" borderId="3" xfId="0" applyNumberFormat="1" applyBorder="1"/>
    <xf numFmtId="2" fontId="0" fillId="0" borderId="3" xfId="0" applyNumberFormat="1" applyBorder="1"/>
    <xf numFmtId="2" fontId="0" fillId="3" borderId="3" xfId="0" applyNumberFormat="1" applyFill="1" applyBorder="1"/>
    <xf numFmtId="164" fontId="0" fillId="0" borderId="3" xfId="0" applyNumberFormat="1" applyBorder="1"/>
    <xf numFmtId="166" fontId="0" fillId="3" borderId="3" xfId="0" applyNumberFormat="1" applyFill="1" applyBorder="1"/>
    <xf numFmtId="165" fontId="0" fillId="0" borderId="3" xfId="0" applyNumberFormat="1" applyBorder="1"/>
    <xf numFmtId="22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2" fontId="0" fillId="0" borderId="9" xfId="0" applyNumberFormat="1" applyBorder="1"/>
    <xf numFmtId="22" fontId="0" fillId="0" borderId="2" xfId="0" applyNumberFormat="1" applyBorder="1"/>
    <xf numFmtId="2" fontId="0" fillId="0" borderId="2" xfId="0" applyNumberFormat="1" applyBorder="1"/>
    <xf numFmtId="2" fontId="0" fillId="3" borderId="2" xfId="0" applyNumberFormat="1" applyFill="1" applyBorder="1"/>
    <xf numFmtId="164" fontId="0" fillId="0" borderId="2" xfId="0" applyNumberFormat="1" applyBorder="1"/>
    <xf numFmtId="165" fontId="0" fillId="0" borderId="2" xfId="0" applyNumberFormat="1" applyBorder="1"/>
    <xf numFmtId="0" fontId="0" fillId="0" borderId="4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3"/>
  <sheetViews>
    <sheetView tabSelected="1" workbookViewId="0">
      <selection activeCell="D21" sqref="D21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22.140625" bestFit="1" customWidth="1"/>
    <col min="5" max="6" width="22.140625" style="7" customWidth="1"/>
    <col min="7" max="7" width="31.5703125" bestFit="1" customWidth="1"/>
    <col min="8" max="8" width="31.5703125" customWidth="1"/>
    <col min="9" max="9" width="17.7109375" bestFit="1" customWidth="1"/>
    <col min="10" max="12" width="17.7109375" customWidth="1"/>
    <col min="13" max="13" width="12.140625" bestFit="1" customWidth="1"/>
    <col min="14" max="14" width="13.85546875" bestFit="1" customWidth="1"/>
    <col min="15" max="15" width="12.140625" bestFit="1" customWidth="1"/>
    <col min="16" max="16" width="13.140625" bestFit="1" customWidth="1"/>
    <col min="17" max="17" width="10" bestFit="1" customWidth="1"/>
    <col min="18" max="18" width="18.85546875" bestFit="1" customWidth="1"/>
    <col min="19" max="19" width="20.42578125" style="7" bestFit="1" customWidth="1"/>
    <col min="20" max="20" width="35.42578125" bestFit="1" customWidth="1"/>
    <col min="21" max="21" width="37" bestFit="1" customWidth="1"/>
    <col min="22" max="22" width="25.140625" bestFit="1" customWidth="1"/>
    <col min="23" max="23" width="26.42578125" bestFit="1" customWidth="1"/>
    <col min="24" max="24" width="12.7109375" bestFit="1" customWidth="1"/>
    <col min="25" max="25" width="13.5703125" bestFit="1" customWidth="1"/>
    <col min="26" max="26" width="16" bestFit="1" customWidth="1"/>
    <col min="27" max="27" width="20" bestFit="1" customWidth="1"/>
    <col min="28" max="28" width="13.140625" customWidth="1"/>
    <col min="29" max="29" width="15.42578125" bestFit="1" customWidth="1"/>
    <col min="31" max="31" width="22.7109375" bestFit="1" customWidth="1"/>
  </cols>
  <sheetData>
    <row r="1" spans="1:31" ht="15.75" thickBot="1" x14ac:dyDescent="0.3">
      <c r="A1" s="28" t="s">
        <v>2</v>
      </c>
      <c r="B1" s="29" t="s">
        <v>4</v>
      </c>
      <c r="C1" s="3" t="s">
        <v>3</v>
      </c>
      <c r="D1" s="3" t="s">
        <v>30</v>
      </c>
      <c r="E1" s="4" t="s">
        <v>40</v>
      </c>
      <c r="F1" s="4" t="s">
        <v>41</v>
      </c>
      <c r="G1" s="3" t="s">
        <v>9</v>
      </c>
      <c r="H1" s="4" t="s">
        <v>42</v>
      </c>
      <c r="I1" s="3" t="s">
        <v>0</v>
      </c>
      <c r="J1" s="4" t="s">
        <v>43</v>
      </c>
      <c r="K1" s="3" t="s">
        <v>5</v>
      </c>
      <c r="L1" s="4" t="s">
        <v>44</v>
      </c>
      <c r="M1" s="3" t="s">
        <v>6</v>
      </c>
      <c r="N1" s="4" t="s">
        <v>45</v>
      </c>
      <c r="O1" s="3" t="s">
        <v>7</v>
      </c>
      <c r="P1" s="4" t="s">
        <v>46</v>
      </c>
      <c r="Q1" s="3" t="s">
        <v>8</v>
      </c>
      <c r="R1" s="3" t="s">
        <v>31</v>
      </c>
      <c r="S1" s="4" t="s">
        <v>32</v>
      </c>
      <c r="T1" s="3" t="s">
        <v>33</v>
      </c>
      <c r="U1" s="4" t="s">
        <v>34</v>
      </c>
      <c r="V1" s="3" t="s">
        <v>35</v>
      </c>
      <c r="W1" s="4" t="s">
        <v>36</v>
      </c>
      <c r="X1" s="3" t="s">
        <v>37</v>
      </c>
      <c r="Y1" s="4" t="s">
        <v>38</v>
      </c>
      <c r="Z1" s="4" t="s">
        <v>39</v>
      </c>
      <c r="AA1" s="3" t="s">
        <v>27</v>
      </c>
      <c r="AB1" s="3" t="s">
        <v>29</v>
      </c>
      <c r="AC1" s="30" t="s">
        <v>26</v>
      </c>
    </row>
    <row r="2" spans="1:31" x14ac:dyDescent="0.25">
      <c r="A2" s="21" t="s">
        <v>10</v>
      </c>
      <c r="B2" s="22">
        <v>43259.625</v>
      </c>
      <c r="C2" s="23">
        <v>43300.554861111108</v>
      </c>
      <c r="D2" s="24">
        <v>7.88</v>
      </c>
      <c r="E2" s="25">
        <v>6.58</v>
      </c>
      <c r="F2" s="6">
        <f>D2*(E2/100)</f>
        <v>0.51850399999999996</v>
      </c>
      <c r="G2" s="5">
        <f>D2-$D$17</f>
        <v>0.62000000000000011</v>
      </c>
      <c r="H2" s="6">
        <f>SQRT((F2^2)+(F$17^2))</f>
        <v>0.71844528957743181</v>
      </c>
      <c r="I2" s="26">
        <f>(C2-B2)*24</f>
        <v>982.31666666659294</v>
      </c>
      <c r="J2" s="8">
        <f>1/60</f>
        <v>1.6666666666666666E-2</v>
      </c>
      <c r="K2" s="27">
        <f t="shared" ref="K2:K17" si="0">1-EXP(-$AE$3*I2)</f>
        <v>0.99998472684942397</v>
      </c>
      <c r="L2" s="6">
        <f>K2*SQRT(((J2/I2)^2))</f>
        <v>1.6966435244057399E-5</v>
      </c>
      <c r="M2" s="5">
        <f t="shared" ref="M2:M17" si="1">G2/((1+K2))</f>
        <v>0.31000236735641784</v>
      </c>
      <c r="N2" s="6">
        <f t="shared" ref="N2:N17" si="2">M2*SQRT(((H2/G2)^2)+((L2/K2)^2))</f>
        <v>0.359225388078943</v>
      </c>
      <c r="O2" s="5">
        <f t="shared" ref="O2:O17" si="3">M2*K2</f>
        <v>0.30999763264358227</v>
      </c>
      <c r="P2" s="6">
        <f t="shared" ref="P2:P17" si="4">O2*SQRT(((N2/M2)^2)+((L2/K2)^2))</f>
        <v>0.35921990161400547</v>
      </c>
      <c r="Q2" s="5">
        <f>M2+O2</f>
        <v>0.62000000000000011</v>
      </c>
      <c r="R2" s="5">
        <v>1.1322999999999999</v>
      </c>
      <c r="S2" s="6">
        <v>1.4142135623730951E-4</v>
      </c>
      <c r="T2" s="5">
        <f t="shared" ref="T2:T16" si="5">M2/R2</f>
        <v>0.27378112457512838</v>
      </c>
      <c r="U2" s="6">
        <f>T2*SQRT(((S2/R2)^2)+((N2/M2)^2))</f>
        <v>0.31725283949973221</v>
      </c>
      <c r="V2" s="5">
        <f>SUM($T$2:T2)</f>
        <v>0.27378112457512838</v>
      </c>
      <c r="W2" s="6">
        <f>SQRT((U2^2))</f>
        <v>0.31725283949973221</v>
      </c>
      <c r="X2" s="5">
        <f>M2/60</f>
        <v>5.1667061226069637E-3</v>
      </c>
      <c r="Y2" s="6">
        <f>X2*SQRT(((N2/M2)^2))</f>
        <v>5.9870898013157162E-3</v>
      </c>
      <c r="Z2" s="6">
        <f>Y2^2</f>
        <v>3.584524428901866E-5</v>
      </c>
      <c r="AA2" s="5">
        <f t="shared" ref="AA2:AA16" si="6">(C2-$AE$6)*24</f>
        <v>1057.3166666665929</v>
      </c>
      <c r="AB2" s="27">
        <f t="shared" ref="AB2:AB16" si="7">EXP(-$AE$9*AA2)</f>
        <v>0.99709929674085984</v>
      </c>
      <c r="AC2" s="5">
        <f t="shared" ref="AC2:AC16" si="8">X2/AB2</f>
        <v>5.1817368034407108E-3</v>
      </c>
      <c r="AE2" t="s">
        <v>1</v>
      </c>
    </row>
    <row r="3" spans="1:31" x14ac:dyDescent="0.25">
      <c r="A3" s="19" t="s">
        <v>11</v>
      </c>
      <c r="B3" s="18">
        <v>43259.625</v>
      </c>
      <c r="C3" s="12">
        <v>43300.577777777777</v>
      </c>
      <c r="D3" s="13">
        <v>6.75</v>
      </c>
      <c r="E3" s="14">
        <v>7.11</v>
      </c>
      <c r="F3" s="9">
        <f t="shared" ref="F3:F17" si="9">D3*(E3/100)</f>
        <v>0.47992499999999999</v>
      </c>
      <c r="G3" s="10">
        <f t="shared" ref="G3:G17" si="10">D3-$D$17</f>
        <v>-0.50999999999999979</v>
      </c>
      <c r="H3" s="9">
        <f t="shared" ref="H3:H17" si="11">SQRT((F3^2)+(F$17^2))</f>
        <v>0.69111883328773493</v>
      </c>
      <c r="I3" s="15">
        <f t="shared" ref="I3:I17" si="12">(C3-B3)*24</f>
        <v>982.8666666666395</v>
      </c>
      <c r="J3" s="16">
        <f t="shared" ref="J3:J17" si="13">1/60</f>
        <v>1.6666666666666666E-2</v>
      </c>
      <c r="K3" s="17">
        <f t="shared" si="0"/>
        <v>0.99998482138621336</v>
      </c>
      <c r="L3" s="9">
        <f t="shared" ref="L3:L17" si="14">K3*SQRT(((J3/I3)^2))</f>
        <v>1.6956942640341873E-5</v>
      </c>
      <c r="M3" s="10">
        <f t="shared" si="1"/>
        <v>-0.25500193528794518</v>
      </c>
      <c r="N3" s="9">
        <f t="shared" si="2"/>
        <v>-0.34556203924728829</v>
      </c>
      <c r="O3" s="10">
        <f t="shared" si="3"/>
        <v>-0.25499806471205461</v>
      </c>
      <c r="P3" s="9">
        <f t="shared" si="4"/>
        <v>-0.34555679412160933</v>
      </c>
      <c r="Q3" s="10">
        <f t="shared" ref="Q3:Q17" si="15">M3+O3</f>
        <v>-0.50999999999999979</v>
      </c>
      <c r="R3" s="10">
        <v>1.1230000000000002</v>
      </c>
      <c r="S3" s="9">
        <v>1.4142135623730951E-4</v>
      </c>
      <c r="T3" s="10">
        <f t="shared" si="5"/>
        <v>-0.22707207060369111</v>
      </c>
      <c r="U3" s="9">
        <f t="shared" ref="U3:U16" si="16">T3*SQRT(((S3/R3)^2)+((N3/M3)^2))</f>
        <v>-0.30771330430935012</v>
      </c>
      <c r="V3" s="10">
        <f>SUM($T$2:T3)</f>
        <v>4.6709053971437264E-2</v>
      </c>
      <c r="W3" s="9">
        <f>SQRT((U3^2)+(U2^2))</f>
        <v>0.44196927700873234</v>
      </c>
      <c r="X3" s="10">
        <f t="shared" ref="X3:X17" si="17">M3/60</f>
        <v>-4.2500322547990863E-3</v>
      </c>
      <c r="Y3" s="9">
        <f t="shared" ref="Y3:Y16" si="18">X3*SQRT(((N3/M3)^2))</f>
        <v>-5.7593673207881379E-3</v>
      </c>
      <c r="Z3" s="9">
        <f t="shared" ref="Z3:Z16" si="19">Y3^2</f>
        <v>3.3170311935762332E-5</v>
      </c>
      <c r="AA3" s="10">
        <f t="shared" si="6"/>
        <v>1057.8666666666395</v>
      </c>
      <c r="AB3" s="17">
        <f t="shared" si="7"/>
        <v>0.99709779003097165</v>
      </c>
      <c r="AC3" s="10">
        <f t="shared" si="8"/>
        <v>-4.262402642239406E-3</v>
      </c>
      <c r="AE3">
        <f>LN(2)/61.4</f>
        <v>1.1289042028663604E-2</v>
      </c>
    </row>
    <row r="4" spans="1:31" x14ac:dyDescent="0.25">
      <c r="A4" s="19" t="s">
        <v>12</v>
      </c>
      <c r="B4" s="18">
        <v>43259.625</v>
      </c>
      <c r="C4" s="12">
        <v>43300.600694386572</v>
      </c>
      <c r="D4" s="13">
        <v>8.0500000000000007</v>
      </c>
      <c r="E4" s="14">
        <v>6.51</v>
      </c>
      <c r="F4" s="9">
        <f t="shared" si="9"/>
        <v>0.52405499999999994</v>
      </c>
      <c r="G4" s="10">
        <f t="shared" si="10"/>
        <v>0.79000000000000092</v>
      </c>
      <c r="H4" s="9">
        <f t="shared" si="11"/>
        <v>0.72246168003915601</v>
      </c>
      <c r="I4" s="15">
        <f t="shared" si="12"/>
        <v>983.41666527773486</v>
      </c>
      <c r="J4" s="16">
        <f t="shared" si="13"/>
        <v>1.6666666666666666E-2</v>
      </c>
      <c r="K4" s="17">
        <f t="shared" si="0"/>
        <v>0.99998491533760836</v>
      </c>
      <c r="L4" s="9">
        <f t="shared" si="14"/>
        <v>1.6947460668586396E-5</v>
      </c>
      <c r="M4" s="10">
        <f t="shared" si="1"/>
        <v>0.39500297924329325</v>
      </c>
      <c r="N4" s="9">
        <f t="shared" si="2"/>
        <v>0.36123356462479145</v>
      </c>
      <c r="O4" s="10">
        <f t="shared" si="3"/>
        <v>0.39499702075670767</v>
      </c>
      <c r="P4" s="9">
        <f t="shared" si="4"/>
        <v>0.36122811560045409</v>
      </c>
      <c r="Q4" s="10">
        <f t="shared" si="15"/>
        <v>0.79000000000000092</v>
      </c>
      <c r="R4" s="10">
        <v>1.1266000000000007</v>
      </c>
      <c r="S4" s="9">
        <v>1.4142135623730951E-4</v>
      </c>
      <c r="T4" s="10">
        <f t="shared" si="5"/>
        <v>0.35061510673113172</v>
      </c>
      <c r="U4" s="9">
        <f t="shared" si="16"/>
        <v>0.3206404828935549</v>
      </c>
      <c r="V4" s="10">
        <f>SUM($T$2:T4)</f>
        <v>0.39732416070256898</v>
      </c>
      <c r="W4" s="9">
        <f>SQRT((U4^2)+(U3^2)+(U2^2))</f>
        <v>0.54602853505090154</v>
      </c>
      <c r="X4" s="10">
        <f t="shared" si="17"/>
        <v>6.5833829873882211E-3</v>
      </c>
      <c r="Y4" s="9">
        <f t="shared" si="18"/>
        <v>6.0205594104131904E-3</v>
      </c>
      <c r="Z4" s="9">
        <f t="shared" si="19"/>
        <v>3.6247135614314822E-5</v>
      </c>
      <c r="AA4" s="10">
        <f t="shared" si="6"/>
        <v>1058.4166652777349</v>
      </c>
      <c r="AB4" s="17">
        <f t="shared" si="7"/>
        <v>0.99709628332716516</v>
      </c>
      <c r="AC4" s="10">
        <f t="shared" si="8"/>
        <v>6.6025549362398886E-3</v>
      </c>
    </row>
    <row r="5" spans="1:31" x14ac:dyDescent="0.25">
      <c r="A5" s="19" t="s">
        <v>13</v>
      </c>
      <c r="B5" s="18">
        <v>43259.625</v>
      </c>
      <c r="C5" s="12">
        <v>43300.623611053241</v>
      </c>
      <c r="D5" s="13">
        <v>7.5</v>
      </c>
      <c r="E5" s="14">
        <v>6.74</v>
      </c>
      <c r="F5" s="9">
        <f t="shared" si="9"/>
        <v>0.50550000000000006</v>
      </c>
      <c r="G5" s="10">
        <f t="shared" si="10"/>
        <v>0.24000000000000021</v>
      </c>
      <c r="H5" s="9">
        <f t="shared" si="11"/>
        <v>0.70911739937756424</v>
      </c>
      <c r="I5" s="15">
        <f t="shared" si="12"/>
        <v>983.96666527778143</v>
      </c>
      <c r="J5" s="16">
        <f t="shared" si="13"/>
        <v>1.6666666666666666E-2</v>
      </c>
      <c r="K5" s="17">
        <f t="shared" si="0"/>
        <v>0.99998500870770546</v>
      </c>
      <c r="L5" s="9">
        <f t="shared" si="14"/>
        <v>1.6937989263172885E-5</v>
      </c>
      <c r="M5" s="10">
        <f t="shared" si="1"/>
        <v>0.12000089948428</v>
      </c>
      <c r="N5" s="9">
        <f t="shared" si="2"/>
        <v>0.35456135736108052</v>
      </c>
      <c r="O5" s="10">
        <f t="shared" si="3"/>
        <v>0.11999910051572023</v>
      </c>
      <c r="P5" s="9">
        <f t="shared" si="4"/>
        <v>0.35455604203396207</v>
      </c>
      <c r="Q5" s="10">
        <f t="shared" si="15"/>
        <v>0.24000000000000021</v>
      </c>
      <c r="R5" s="10">
        <v>1.0711000000000004</v>
      </c>
      <c r="S5" s="9">
        <v>1.4142135623730951E-4</v>
      </c>
      <c r="T5" s="10">
        <f t="shared" si="5"/>
        <v>0.11203519697906821</v>
      </c>
      <c r="U5" s="9">
        <f t="shared" si="16"/>
        <v>0.33102544833824293</v>
      </c>
      <c r="V5" s="10">
        <f>SUM($T$2:T5)</f>
        <v>0.5093593576816372</v>
      </c>
      <c r="W5" s="9">
        <f>SQRT((U5^2)+(U4^2)+(U3^2)+(U2^2))</f>
        <v>0.63853348270655974</v>
      </c>
      <c r="X5" s="10">
        <f t="shared" si="17"/>
        <v>2.0000149914046667E-3</v>
      </c>
      <c r="Y5" s="9">
        <f t="shared" si="18"/>
        <v>5.9093559560180085E-3</v>
      </c>
      <c r="Z5" s="9">
        <f t="shared" si="19"/>
        <v>3.4920487814925509E-5</v>
      </c>
      <c r="AA5" s="10">
        <f t="shared" si="6"/>
        <v>1058.9666652777814</v>
      </c>
      <c r="AB5" s="17">
        <f t="shared" si="7"/>
        <v>0.99709477662183055</v>
      </c>
      <c r="AC5" s="10">
        <f t="shared" si="8"/>
        <v>2.0058424116719798E-3</v>
      </c>
    </row>
    <row r="6" spans="1:31" x14ac:dyDescent="0.25">
      <c r="A6" s="19" t="s">
        <v>14</v>
      </c>
      <c r="B6" s="18">
        <v>43259.625</v>
      </c>
      <c r="C6" s="12">
        <v>43300.646527719909</v>
      </c>
      <c r="D6" s="13">
        <v>8.9</v>
      </c>
      <c r="E6" s="14">
        <v>6.19</v>
      </c>
      <c r="F6" s="9">
        <f t="shared" si="9"/>
        <v>0.55091000000000001</v>
      </c>
      <c r="G6" s="10">
        <f t="shared" si="10"/>
        <v>1.6400000000000006</v>
      </c>
      <c r="H6" s="9">
        <f t="shared" si="11"/>
        <v>0.7421718562435522</v>
      </c>
      <c r="I6" s="15">
        <f t="shared" si="12"/>
        <v>984.516665277828</v>
      </c>
      <c r="J6" s="16">
        <f t="shared" si="13"/>
        <v>1.6666666666666666E-2</v>
      </c>
      <c r="K6" s="17">
        <f t="shared" si="0"/>
        <v>0.99998510149986619</v>
      </c>
      <c r="L6" s="9">
        <f t="shared" si="14"/>
        <v>1.6928528430372364E-5</v>
      </c>
      <c r="M6" s="10">
        <f t="shared" si="1"/>
        <v>0.82000610843055832</v>
      </c>
      <c r="N6" s="9">
        <f t="shared" si="2"/>
        <v>0.37108869271388689</v>
      </c>
      <c r="O6" s="10">
        <f t="shared" si="3"/>
        <v>0.81999389156944213</v>
      </c>
      <c r="P6" s="9">
        <f t="shared" si="4"/>
        <v>0.37108316430858868</v>
      </c>
      <c r="Q6" s="10">
        <f t="shared" si="15"/>
        <v>1.6400000000000006</v>
      </c>
      <c r="R6" s="10">
        <v>0.89909999999999979</v>
      </c>
      <c r="S6" s="9">
        <v>1.4142135623730951E-4</v>
      </c>
      <c r="T6" s="10">
        <f t="shared" si="5"/>
        <v>0.91202992818436046</v>
      </c>
      <c r="U6" s="9">
        <f t="shared" si="16"/>
        <v>0.41273352811586567</v>
      </c>
      <c r="V6" s="10">
        <f>SUM($T$2:T6)</f>
        <v>1.4213892858659976</v>
      </c>
      <c r="W6" s="9">
        <f>SQRT((U6^2)+(U5^2)+(U4^2)+(U3^2)+(U2^2))</f>
        <v>0.76031176090360364</v>
      </c>
      <c r="X6" s="10">
        <f t="shared" si="17"/>
        <v>1.3666768473842638E-2</v>
      </c>
      <c r="Y6" s="9">
        <f t="shared" si="18"/>
        <v>6.1848115452314478E-3</v>
      </c>
      <c r="Z6" s="9">
        <f t="shared" si="19"/>
        <v>3.8251893850028211E-5</v>
      </c>
      <c r="AA6" s="10">
        <f t="shared" si="6"/>
        <v>1059.516665277828</v>
      </c>
      <c r="AB6" s="17">
        <f t="shared" si="7"/>
        <v>0.99709326991877267</v>
      </c>
      <c r="AC6" s="10">
        <f t="shared" si="8"/>
        <v>1.3706609889118988E-2</v>
      </c>
      <c r="AE6" s="1">
        <v>43256.5</v>
      </c>
    </row>
    <row r="7" spans="1:31" x14ac:dyDescent="0.25">
      <c r="A7" s="19" t="s">
        <v>15</v>
      </c>
      <c r="B7" s="18">
        <v>43259.625</v>
      </c>
      <c r="C7" s="12">
        <v>43300.669444386571</v>
      </c>
      <c r="D7" s="13">
        <v>56.43</v>
      </c>
      <c r="E7" s="14">
        <v>2.46</v>
      </c>
      <c r="F7" s="9">
        <f t="shared" si="9"/>
        <v>1.3881779999999999</v>
      </c>
      <c r="G7" s="10">
        <f t="shared" si="10"/>
        <v>49.17</v>
      </c>
      <c r="H7" s="9">
        <f t="shared" si="11"/>
        <v>1.4745695628840301</v>
      </c>
      <c r="I7" s="15">
        <f t="shared" si="12"/>
        <v>985.06666527769994</v>
      </c>
      <c r="J7" s="16">
        <f t="shared" si="13"/>
        <v>1.6666666666666666E-2</v>
      </c>
      <c r="K7" s="17">
        <f t="shared" si="0"/>
        <v>0.99998519371766781</v>
      </c>
      <c r="L7" s="9">
        <f t="shared" si="14"/>
        <v>1.6919078152539082E-5</v>
      </c>
      <c r="M7" s="10">
        <f t="shared" si="1"/>
        <v>24.585182007572996</v>
      </c>
      <c r="N7" s="9">
        <f t="shared" si="2"/>
        <v>0.73729035704533752</v>
      </c>
      <c r="O7" s="10">
        <f t="shared" si="3"/>
        <v>24.584817992427002</v>
      </c>
      <c r="P7" s="9">
        <f t="shared" si="4"/>
        <v>0.73727955785399168</v>
      </c>
      <c r="Q7" s="10">
        <f t="shared" si="15"/>
        <v>49.17</v>
      </c>
      <c r="R7" s="10">
        <v>0.93919999999999959</v>
      </c>
      <c r="S7" s="9">
        <v>1.4142135623730951E-4</v>
      </c>
      <c r="T7" s="10">
        <f t="shared" si="5"/>
        <v>26.176727009766829</v>
      </c>
      <c r="U7" s="9">
        <f t="shared" si="16"/>
        <v>0.78502944075950909</v>
      </c>
      <c r="V7" s="10">
        <f>SUM($T$2:T7)</f>
        <v>27.598116295632828</v>
      </c>
      <c r="W7" s="9">
        <f>SQRT((U7^2)+(U6^2)+(U5^2)+(U4^2)+(U3^2)+(U2^2))</f>
        <v>1.0928610143231965</v>
      </c>
      <c r="X7" s="10">
        <f t="shared" si="17"/>
        <v>0.40975303345954994</v>
      </c>
      <c r="Y7" s="9">
        <f t="shared" si="18"/>
        <v>1.2288172617422292E-2</v>
      </c>
      <c r="Z7" s="9">
        <f t="shared" si="19"/>
        <v>1.5099918627556702E-4</v>
      </c>
      <c r="AA7" s="10">
        <f t="shared" si="6"/>
        <v>1060.0666652776999</v>
      </c>
      <c r="AB7" s="17">
        <f t="shared" si="7"/>
        <v>0.99709176321799198</v>
      </c>
      <c r="AC7" s="10">
        <f t="shared" si="8"/>
        <v>0.41094816803733492</v>
      </c>
    </row>
    <row r="8" spans="1:31" x14ac:dyDescent="0.25">
      <c r="A8" s="19" t="s">
        <v>16</v>
      </c>
      <c r="B8" s="18">
        <v>43259.625</v>
      </c>
      <c r="C8" s="12">
        <v>43300.692361053239</v>
      </c>
      <c r="D8" s="13">
        <v>543.84</v>
      </c>
      <c r="E8" s="14">
        <v>0.79</v>
      </c>
      <c r="F8" s="9">
        <f t="shared" si="9"/>
        <v>4.296336000000001</v>
      </c>
      <c r="G8" s="10">
        <f t="shared" si="10"/>
        <v>536.58000000000004</v>
      </c>
      <c r="H8" s="9">
        <f t="shared" si="11"/>
        <v>4.325022573466641</v>
      </c>
      <c r="I8" s="15">
        <f t="shared" si="12"/>
        <v>985.61666527774651</v>
      </c>
      <c r="J8" s="16">
        <f t="shared" si="13"/>
        <v>1.6666666666666666E-2</v>
      </c>
      <c r="K8" s="17">
        <f t="shared" si="0"/>
        <v>0.99998528536466547</v>
      </c>
      <c r="L8" s="9">
        <f t="shared" si="14"/>
        <v>1.6909638412057319E-5</v>
      </c>
      <c r="M8" s="10">
        <f t="shared" si="1"/>
        <v>268.29197390927965</v>
      </c>
      <c r="N8" s="9">
        <f t="shared" si="2"/>
        <v>2.1625319560126441</v>
      </c>
      <c r="O8" s="10">
        <f t="shared" si="3"/>
        <v>268.28802609072039</v>
      </c>
      <c r="P8" s="9">
        <f t="shared" si="4"/>
        <v>2.1625048939427853</v>
      </c>
      <c r="Q8" s="10">
        <f t="shared" si="15"/>
        <v>536.58000000000004</v>
      </c>
      <c r="R8" s="10">
        <v>0.8998999999999997</v>
      </c>
      <c r="S8" s="9">
        <v>1.4142135623730951E-4</v>
      </c>
      <c r="T8" s="10">
        <f t="shared" si="5"/>
        <v>298.13531937913075</v>
      </c>
      <c r="U8" s="9">
        <f t="shared" si="16"/>
        <v>2.4035369910606139</v>
      </c>
      <c r="V8" s="10">
        <f>SUM($T$2:T8)</f>
        <v>325.7334356747636</v>
      </c>
      <c r="W8" s="9">
        <f>SQRT((U8^2)+(U7^2)+(U6^2)+(U5^2)+(U4^2)+(U3^2)+(U2^2))</f>
        <v>2.6403286280355776</v>
      </c>
      <c r="X8" s="10">
        <f t="shared" si="17"/>
        <v>4.4715328984879941</v>
      </c>
      <c r="Y8" s="9">
        <f t="shared" si="18"/>
        <v>3.6042199266877406E-2</v>
      </c>
      <c r="Z8" s="9">
        <f t="shared" si="19"/>
        <v>1.2990401279932983E-3</v>
      </c>
      <c r="AA8" s="10">
        <f t="shared" si="6"/>
        <v>1060.6166652777465</v>
      </c>
      <c r="AB8" s="17">
        <f t="shared" si="7"/>
        <v>0.99709025651948757</v>
      </c>
      <c r="AC8" s="10">
        <f t="shared" si="8"/>
        <v>4.4845818813801639</v>
      </c>
      <c r="AE8" t="s">
        <v>28</v>
      </c>
    </row>
    <row r="9" spans="1:31" x14ac:dyDescent="0.25">
      <c r="A9" s="19" t="s">
        <v>17</v>
      </c>
      <c r="B9" s="18">
        <v>43259.625</v>
      </c>
      <c r="C9" s="12">
        <v>43300.715277719908</v>
      </c>
      <c r="D9" s="13">
        <v>583.29</v>
      </c>
      <c r="E9" s="14">
        <v>0.76</v>
      </c>
      <c r="F9" s="9">
        <f t="shared" si="9"/>
        <v>4.4330039999999995</v>
      </c>
      <c r="G9" s="10">
        <f t="shared" si="10"/>
        <v>576.03</v>
      </c>
      <c r="H9" s="9">
        <f t="shared" si="11"/>
        <v>4.4608117759120924</v>
      </c>
      <c r="I9" s="15">
        <f t="shared" si="12"/>
        <v>986.16666527779307</v>
      </c>
      <c r="J9" s="16">
        <f t="shared" si="13"/>
        <v>1.6666666666666666E-2</v>
      </c>
      <c r="K9" s="17">
        <f t="shared" si="0"/>
        <v>0.99998537644439223</v>
      </c>
      <c r="L9" s="9">
        <f t="shared" si="14"/>
        <v>1.690020919135926E-5</v>
      </c>
      <c r="M9" s="10">
        <f t="shared" si="1"/>
        <v>288.01710591708218</v>
      </c>
      <c r="N9" s="9">
        <f t="shared" si="2"/>
        <v>2.230427507791044</v>
      </c>
      <c r="O9" s="10">
        <f t="shared" si="3"/>
        <v>288.0128940829178</v>
      </c>
      <c r="P9" s="9">
        <f t="shared" si="4"/>
        <v>2.2304002024035228</v>
      </c>
      <c r="Q9" s="10">
        <f t="shared" si="15"/>
        <v>576.03</v>
      </c>
      <c r="R9" s="10">
        <v>0.93359999999999932</v>
      </c>
      <c r="S9" s="9">
        <v>1.4142135623730951E-4</v>
      </c>
      <c r="T9" s="10">
        <f t="shared" si="5"/>
        <v>308.50161302172489</v>
      </c>
      <c r="U9" s="9">
        <f t="shared" si="16"/>
        <v>2.389518178056004</v>
      </c>
      <c r="V9" s="10">
        <f>SUM($T$2:T9)</f>
        <v>634.23504869648855</v>
      </c>
      <c r="W9" s="9">
        <f>SQRT((U9^2)+(U8^2)+(U7^2)+(U6^2)+(U5^2)+(U4^2)+(U3^2)+(U2^2))</f>
        <v>3.5610577624189585</v>
      </c>
      <c r="X9" s="10">
        <f t="shared" si="17"/>
        <v>4.8002850986180361</v>
      </c>
      <c r="Y9" s="9">
        <f t="shared" si="18"/>
        <v>3.7173791796517398E-2</v>
      </c>
      <c r="Z9" s="9">
        <f t="shared" si="19"/>
        <v>1.3818907965308241E-3</v>
      </c>
      <c r="AA9" s="10">
        <f t="shared" si="6"/>
        <v>1061.1666652777931</v>
      </c>
      <c r="AB9" s="17">
        <f t="shared" si="7"/>
        <v>0.99708874982326001</v>
      </c>
      <c r="AC9" s="10">
        <f t="shared" si="8"/>
        <v>4.8143007324763376</v>
      </c>
      <c r="AE9">
        <f>LN(2)/252288</f>
        <v>2.7474441137110973E-6</v>
      </c>
    </row>
    <row r="10" spans="1:31" x14ac:dyDescent="0.25">
      <c r="A10" s="19" t="s">
        <v>18</v>
      </c>
      <c r="B10" s="18">
        <v>43259.625</v>
      </c>
      <c r="C10" s="12">
        <v>43300.736805555556</v>
      </c>
      <c r="D10" s="13">
        <v>182.71</v>
      </c>
      <c r="E10" s="14">
        <v>1.37</v>
      </c>
      <c r="F10" s="9">
        <f t="shared" si="9"/>
        <v>2.5031270000000001</v>
      </c>
      <c r="G10" s="10">
        <f t="shared" si="10"/>
        <v>175.45000000000002</v>
      </c>
      <c r="H10" s="9">
        <f t="shared" si="11"/>
        <v>2.5520505508764906</v>
      </c>
      <c r="I10" s="15">
        <f t="shared" si="12"/>
        <v>986.68333333334886</v>
      </c>
      <c r="J10" s="16">
        <f t="shared" si="13"/>
        <v>1.6666666666666666E-2</v>
      </c>
      <c r="K10" s="17">
        <f t="shared" si="0"/>
        <v>0.99998546149075518</v>
      </c>
      <c r="L10" s="9">
        <f t="shared" si="14"/>
        <v>1.6891360981921582E-5</v>
      </c>
      <c r="M10" s="10">
        <f t="shared" si="1"/>
        <v>87.725637699997364</v>
      </c>
      <c r="N10" s="9">
        <f t="shared" si="2"/>
        <v>1.276035411662277</v>
      </c>
      <c r="O10" s="10">
        <f t="shared" si="3"/>
        <v>87.724362300002653</v>
      </c>
      <c r="P10" s="9">
        <f t="shared" si="4"/>
        <v>1.2760177204005301</v>
      </c>
      <c r="Q10" s="10">
        <f t="shared" si="15"/>
        <v>175.45000000000002</v>
      </c>
      <c r="R10" s="10">
        <v>0.89319999999999933</v>
      </c>
      <c r="S10" s="9">
        <v>1.4142135623730951E-4</v>
      </c>
      <c r="T10" s="10">
        <f t="shared" si="5"/>
        <v>98.214999664126097</v>
      </c>
      <c r="U10" s="9">
        <f t="shared" si="16"/>
        <v>1.4286957057719469</v>
      </c>
      <c r="V10" s="10">
        <f>SUM($T$2:T10)</f>
        <v>732.45004836061469</v>
      </c>
      <c r="W10" s="9">
        <f>SQRT((U10^2)+(U9^2)+(U8^2)+(U7^2)+(U6^2)+(U5^2)+(U4^2)+(U3^2)+(U2^2))</f>
        <v>3.8369654425047304</v>
      </c>
      <c r="X10" s="10">
        <f t="shared" si="17"/>
        <v>1.4620939616666226</v>
      </c>
      <c r="Y10" s="9">
        <f t="shared" si="18"/>
        <v>2.1267256861037948E-2</v>
      </c>
      <c r="Z10" s="9">
        <f t="shared" si="19"/>
        <v>4.5229621439336567E-4</v>
      </c>
      <c r="AA10" s="10">
        <f t="shared" si="6"/>
        <v>1061.6833333333489</v>
      </c>
      <c r="AB10" s="17">
        <f t="shared" si="7"/>
        <v>0.99708733444022457</v>
      </c>
      <c r="AC10" s="10">
        <f t="shared" si="8"/>
        <v>1.4663649924782745</v>
      </c>
    </row>
    <row r="11" spans="1:31" x14ac:dyDescent="0.25">
      <c r="A11" s="19" t="s">
        <v>19</v>
      </c>
      <c r="B11" s="18">
        <v>43259.625</v>
      </c>
      <c r="C11" s="12">
        <v>43300.759722222225</v>
      </c>
      <c r="D11" s="13">
        <v>50.63</v>
      </c>
      <c r="E11" s="14">
        <v>2.6</v>
      </c>
      <c r="F11" s="9">
        <f t="shared" si="9"/>
        <v>1.3163800000000001</v>
      </c>
      <c r="G11" s="10">
        <f t="shared" si="10"/>
        <v>43.370000000000005</v>
      </c>
      <c r="H11" s="9">
        <f t="shared" si="11"/>
        <v>1.4071863915274339</v>
      </c>
      <c r="I11" s="15">
        <f t="shared" si="12"/>
        <v>987.23333333339542</v>
      </c>
      <c r="J11" s="16">
        <f t="shared" si="13"/>
        <v>1.6666666666666666E-2</v>
      </c>
      <c r="K11" s="17">
        <f t="shared" si="0"/>
        <v>0.99998555148030777</v>
      </c>
      <c r="L11" s="9">
        <f t="shared" si="14"/>
        <v>1.6881952113317434E-5</v>
      </c>
      <c r="M11" s="10">
        <f t="shared" si="1"/>
        <v>21.685156659206513</v>
      </c>
      <c r="N11" s="9">
        <f t="shared" si="2"/>
        <v>0.7035983739824454</v>
      </c>
      <c r="O11" s="10">
        <f t="shared" si="3"/>
        <v>21.684843340793492</v>
      </c>
      <c r="P11" s="9">
        <f t="shared" si="4"/>
        <v>0.70358830326803001</v>
      </c>
      <c r="Q11" s="10">
        <f t="shared" si="15"/>
        <v>43.370000000000005</v>
      </c>
      <c r="R11" s="10">
        <v>0.92739999999999956</v>
      </c>
      <c r="S11" s="9">
        <v>1.4142135623730951E-4</v>
      </c>
      <c r="T11" s="10">
        <f t="shared" si="5"/>
        <v>23.382743863712015</v>
      </c>
      <c r="U11" s="9">
        <f t="shared" si="16"/>
        <v>0.7586868069295275</v>
      </c>
      <c r="V11" s="10">
        <f>SUM($T$2:T11)</f>
        <v>755.83279222432668</v>
      </c>
      <c r="W11" s="9">
        <f>SQRT((U11^2)+(U10^2)+(U9^2)+(U8^2)+(U7^2)+(U6^2)+(U5^2)+(U4^2)+(U3^2)+(U2^2))</f>
        <v>3.9112542077937666</v>
      </c>
      <c r="X11" s="10">
        <f t="shared" si="17"/>
        <v>0.36141927765344189</v>
      </c>
      <c r="Y11" s="9">
        <f t="shared" si="18"/>
        <v>1.1726639566374092E-2</v>
      </c>
      <c r="Z11" s="9">
        <f t="shared" si="19"/>
        <v>1.3751407551965036E-4</v>
      </c>
      <c r="AA11" s="10">
        <f t="shared" si="6"/>
        <v>1062.2333333333954</v>
      </c>
      <c r="AB11" s="17">
        <f t="shared" si="7"/>
        <v>0.99708582774841248</v>
      </c>
      <c r="AC11" s="10">
        <f t="shared" si="8"/>
        <v>0.36247559397127066</v>
      </c>
    </row>
    <row r="12" spans="1:31" x14ac:dyDescent="0.25">
      <c r="A12" s="19" t="s">
        <v>20</v>
      </c>
      <c r="B12" s="18">
        <v>43259.625</v>
      </c>
      <c r="C12" s="12">
        <v>43300.782638888886</v>
      </c>
      <c r="D12" s="13">
        <v>18.829999999999998</v>
      </c>
      <c r="E12" s="14">
        <v>4.26</v>
      </c>
      <c r="F12" s="9">
        <f t="shared" si="9"/>
        <v>0.80215799999999993</v>
      </c>
      <c r="G12" s="10">
        <f t="shared" si="10"/>
        <v>11.569999999999999</v>
      </c>
      <c r="H12" s="9">
        <f t="shared" si="11"/>
        <v>0.94380861039937536</v>
      </c>
      <c r="I12" s="15">
        <f t="shared" si="12"/>
        <v>987.78333333326736</v>
      </c>
      <c r="J12" s="16">
        <f t="shared" si="13"/>
        <v>1.6666666666666666E-2</v>
      </c>
      <c r="K12" s="17">
        <f t="shared" si="0"/>
        <v>0.99998564091284869</v>
      </c>
      <c r="L12" s="9">
        <f t="shared" si="14"/>
        <v>1.6872553713076679E-5</v>
      </c>
      <c r="M12" s="10">
        <f t="shared" si="1"/>
        <v>5.785041533957779</v>
      </c>
      <c r="N12" s="9">
        <f t="shared" si="2"/>
        <v>0.4719077033763886</v>
      </c>
      <c r="O12" s="10">
        <f t="shared" si="3"/>
        <v>5.7849584660422186</v>
      </c>
      <c r="P12" s="9">
        <f t="shared" si="4"/>
        <v>0.47190093730725668</v>
      </c>
      <c r="Q12" s="10">
        <f t="shared" si="15"/>
        <v>11.569999999999997</v>
      </c>
      <c r="R12" s="10">
        <v>0.89649999999999963</v>
      </c>
      <c r="S12" s="9">
        <v>1.4142135623730951E-4</v>
      </c>
      <c r="T12" s="10">
        <f t="shared" si="5"/>
        <v>6.4529186101034925</v>
      </c>
      <c r="U12" s="9">
        <f t="shared" si="16"/>
        <v>0.52638994506955639</v>
      </c>
      <c r="V12" s="10">
        <f>SUM($T$2:T12)</f>
        <v>762.28571083443012</v>
      </c>
      <c r="W12" s="9">
        <f>SQRT((U12^2)+(U11^2)+(U10^2)+(U9^2)+(U8^2)+(U7^2)+(U6^2)+(U5^2)+(U4^2)+(U3^2)+(U2^2))</f>
        <v>3.9465169266398408</v>
      </c>
      <c r="X12" s="10">
        <f t="shared" si="17"/>
        <v>9.6417358899296313E-2</v>
      </c>
      <c r="Y12" s="9">
        <f t="shared" si="18"/>
        <v>7.8651283896064763E-3</v>
      </c>
      <c r="Z12" s="9">
        <f t="shared" si="19"/>
        <v>6.1860244584993759E-5</v>
      </c>
      <c r="AA12" s="10">
        <f t="shared" si="6"/>
        <v>1062.7833333332674</v>
      </c>
      <c r="AB12" s="17">
        <f t="shared" si="7"/>
        <v>0.99708432105887768</v>
      </c>
      <c r="AC12" s="10">
        <f t="shared" si="8"/>
        <v>9.6699303020735081E-2</v>
      </c>
    </row>
    <row r="13" spans="1:31" x14ac:dyDescent="0.25">
      <c r="A13" s="19" t="s">
        <v>21</v>
      </c>
      <c r="B13" s="18">
        <v>43259.625</v>
      </c>
      <c r="C13" s="12">
        <v>43300.805555555555</v>
      </c>
      <c r="D13" s="13">
        <v>11.77</v>
      </c>
      <c r="E13" s="14">
        <v>5.38</v>
      </c>
      <c r="F13" s="9">
        <f t="shared" si="9"/>
        <v>0.63322599999999996</v>
      </c>
      <c r="G13" s="10">
        <f t="shared" si="10"/>
        <v>4.51</v>
      </c>
      <c r="H13" s="9">
        <f t="shared" si="11"/>
        <v>0.80516607179885558</v>
      </c>
      <c r="I13" s="15">
        <f t="shared" si="12"/>
        <v>988.33333333331393</v>
      </c>
      <c r="J13" s="16">
        <f t="shared" si="13"/>
        <v>1.6666666666666666E-2</v>
      </c>
      <c r="K13" s="17">
        <f t="shared" si="0"/>
        <v>0.99998572979182565</v>
      </c>
      <c r="L13" s="9">
        <f t="shared" si="14"/>
        <v>1.6863165763774795E-5</v>
      </c>
      <c r="M13" s="10">
        <f t="shared" si="1"/>
        <v>2.2550160897745184</v>
      </c>
      <c r="N13" s="9">
        <f t="shared" si="2"/>
        <v>0.40258591018776752</v>
      </c>
      <c r="O13" s="10">
        <f t="shared" si="3"/>
        <v>2.2549839102254809</v>
      </c>
      <c r="P13" s="9">
        <f t="shared" si="4"/>
        <v>0.40258016699897481</v>
      </c>
      <c r="Q13" s="10">
        <f t="shared" si="15"/>
        <v>4.51</v>
      </c>
      <c r="R13" s="10">
        <v>0.89210000000000012</v>
      </c>
      <c r="S13" s="9">
        <v>1.4142135623730951E-4</v>
      </c>
      <c r="T13" s="10">
        <f t="shared" si="5"/>
        <v>2.5277615623523348</v>
      </c>
      <c r="U13" s="9">
        <f t="shared" si="16"/>
        <v>0.45127908183068316</v>
      </c>
      <c r="V13" s="10">
        <f>SUM($T$2:T13)</f>
        <v>764.81347239678246</v>
      </c>
      <c r="W13" s="9">
        <f>SQRT((U13^2)+(U12^2)+(U11^2)+(U10^2)+(U9^2)+(U8^2)+(U7^2)+(U6^2)+(U5^2)+(U4^2)+(U3^2)+(U2^2))</f>
        <v>3.9722347188896983</v>
      </c>
      <c r="X13" s="10">
        <f t="shared" si="17"/>
        <v>3.7583601496241972E-2</v>
      </c>
      <c r="Y13" s="9">
        <f t="shared" si="18"/>
        <v>6.7097651697961246E-3</v>
      </c>
      <c r="Z13" s="9">
        <f t="shared" si="19"/>
        <v>4.5020948633809214E-5</v>
      </c>
      <c r="AA13" s="10">
        <f t="shared" si="6"/>
        <v>1063.3333333333139</v>
      </c>
      <c r="AB13" s="17">
        <f t="shared" si="7"/>
        <v>0.99708281437161905</v>
      </c>
      <c r="AC13" s="10">
        <f t="shared" si="8"/>
        <v>3.7693560609534611E-2</v>
      </c>
    </row>
    <row r="14" spans="1:31" x14ac:dyDescent="0.25">
      <c r="A14" s="19" t="s">
        <v>22</v>
      </c>
      <c r="B14" s="18">
        <v>43259.625</v>
      </c>
      <c r="C14" s="12">
        <v>43300.828472222223</v>
      </c>
      <c r="D14" s="13">
        <v>10.57</v>
      </c>
      <c r="E14" s="14">
        <v>5.68</v>
      </c>
      <c r="F14" s="9">
        <f t="shared" si="9"/>
        <v>0.60037600000000002</v>
      </c>
      <c r="G14" s="10">
        <f t="shared" si="10"/>
        <v>3.3100000000000005</v>
      </c>
      <c r="H14" s="9">
        <f t="shared" si="11"/>
        <v>0.77959513689863402</v>
      </c>
      <c r="I14" s="15">
        <f t="shared" si="12"/>
        <v>988.8833333333605</v>
      </c>
      <c r="J14" s="16">
        <f t="shared" si="13"/>
        <v>1.6666666666666666E-2</v>
      </c>
      <c r="K14" s="17">
        <f t="shared" si="0"/>
        <v>0.99998581812066512</v>
      </c>
      <c r="L14" s="9">
        <f t="shared" si="14"/>
        <v>1.6853788248034613E-5</v>
      </c>
      <c r="M14" s="10">
        <f t="shared" si="1"/>
        <v>1.6550117355883662</v>
      </c>
      <c r="N14" s="9">
        <f t="shared" si="2"/>
        <v>0.38980033349797272</v>
      </c>
      <c r="O14" s="10">
        <f t="shared" si="3"/>
        <v>1.6549882644116343</v>
      </c>
      <c r="P14" s="9">
        <f t="shared" si="4"/>
        <v>0.38979480639467978</v>
      </c>
      <c r="Q14" s="10">
        <f t="shared" si="15"/>
        <v>3.3100000000000005</v>
      </c>
      <c r="R14" s="10">
        <v>0.91790000000000038</v>
      </c>
      <c r="S14" s="9">
        <v>1.4142135623730951E-4</v>
      </c>
      <c r="T14" s="10">
        <f t="shared" si="5"/>
        <v>1.8030414376166963</v>
      </c>
      <c r="U14" s="9">
        <f t="shared" si="16"/>
        <v>0.42466545037430026</v>
      </c>
      <c r="V14" s="10">
        <f>SUM($T$2:T14)</f>
        <v>766.61651383439914</v>
      </c>
      <c r="W14" s="9">
        <f>SQRT((U14^2)+(U13^2)+(U12^2)+(U11^2)+(U10^2)+(U9^2)+(U8^2)+(U7^2)+(U6^2)+(U5^2)+(U4^2)+(U3^2)+(U2^2))</f>
        <v>3.9948703867202409</v>
      </c>
      <c r="X14" s="10">
        <f t="shared" si="17"/>
        <v>2.758352892647277E-2</v>
      </c>
      <c r="Y14" s="9">
        <f t="shared" si="18"/>
        <v>6.4966722249662117E-3</v>
      </c>
      <c r="Z14" s="9">
        <f t="shared" si="19"/>
        <v>4.2206749998647424E-5</v>
      </c>
      <c r="AA14" s="10">
        <f t="shared" si="6"/>
        <v>1063.8833333333605</v>
      </c>
      <c r="AB14" s="17">
        <f t="shared" si="7"/>
        <v>0.99708130768663727</v>
      </c>
      <c r="AC14" s="10">
        <f t="shared" si="8"/>
        <v>2.7664272425756597E-2</v>
      </c>
    </row>
    <row r="15" spans="1:31" x14ac:dyDescent="0.25">
      <c r="A15" s="19" t="s">
        <v>23</v>
      </c>
      <c r="B15" s="18">
        <v>43259.625</v>
      </c>
      <c r="C15" s="12">
        <v>43300.851388888892</v>
      </c>
      <c r="D15" s="13">
        <v>10.199999999999999</v>
      </c>
      <c r="E15" s="14">
        <v>5.78</v>
      </c>
      <c r="F15" s="9">
        <f t="shared" si="9"/>
        <v>0.58955999999999997</v>
      </c>
      <c r="G15" s="10">
        <f t="shared" si="10"/>
        <v>2.9399999999999995</v>
      </c>
      <c r="H15" s="9">
        <f t="shared" si="11"/>
        <v>0.77129646031859878</v>
      </c>
      <c r="I15" s="15">
        <f t="shared" si="12"/>
        <v>989.43333333340706</v>
      </c>
      <c r="J15" s="16">
        <f t="shared" si="13"/>
        <v>1.6666666666666666E-2</v>
      </c>
      <c r="K15" s="17">
        <f t="shared" si="0"/>
        <v>0.99998590590277225</v>
      </c>
      <c r="L15" s="9">
        <f t="shared" si="14"/>
        <v>1.6844421148514263E-5</v>
      </c>
      <c r="M15" s="10">
        <f t="shared" si="1"/>
        <v>1.4700103592344642</v>
      </c>
      <c r="N15" s="9">
        <f t="shared" si="2"/>
        <v>0.38565094865522881</v>
      </c>
      <c r="O15" s="10">
        <f t="shared" si="3"/>
        <v>1.4699896407655353</v>
      </c>
      <c r="P15" s="9">
        <f t="shared" si="4"/>
        <v>0.38564551404820313</v>
      </c>
      <c r="Q15" s="10">
        <f t="shared" si="15"/>
        <v>2.9399999999999995</v>
      </c>
      <c r="R15" s="10">
        <v>0.91779999999999973</v>
      </c>
      <c r="S15" s="9">
        <v>1.4142135623730951E-4</v>
      </c>
      <c r="T15" s="10">
        <f t="shared" si="5"/>
        <v>1.6016674212622191</v>
      </c>
      <c r="U15" s="9">
        <f t="shared" si="16"/>
        <v>0.42019068988333286</v>
      </c>
      <c r="V15" s="10">
        <f>SUM($T$2:T15)</f>
        <v>768.21818125566131</v>
      </c>
      <c r="W15" s="9">
        <f>SQRT((U15^2)+(U14^2)+(U13^2)+(U12^2)+(U11^2)+(U10^2)+(U9^2)+(U8^2)+(U7^2)+(U6^2)+(U5^2)+(U4^2)+(U3^2)+(U2^2))</f>
        <v>4.0169079678975663</v>
      </c>
      <c r="X15" s="10">
        <f>M15/60</f>
        <v>2.4500172653907738E-2</v>
      </c>
      <c r="Y15" s="9">
        <f t="shared" si="18"/>
        <v>6.4275158109204809E-3</v>
      </c>
      <c r="Z15" s="9">
        <f t="shared" si="19"/>
        <v>4.1312959499632769E-5</v>
      </c>
      <c r="AA15" s="10">
        <f t="shared" si="6"/>
        <v>1064.4333333334071</v>
      </c>
      <c r="AB15" s="17">
        <f t="shared" si="7"/>
        <v>0.99707980100393212</v>
      </c>
      <c r="AC15" s="10">
        <f t="shared" si="8"/>
        <v>2.4571927572135339E-2</v>
      </c>
    </row>
    <row r="16" spans="1:31" x14ac:dyDescent="0.25">
      <c r="A16" s="19" t="s">
        <v>24</v>
      </c>
      <c r="B16" s="18">
        <v>43259.625</v>
      </c>
      <c r="C16" s="12">
        <v>43300.874305555553</v>
      </c>
      <c r="D16" s="13">
        <v>9.65</v>
      </c>
      <c r="E16" s="14">
        <v>5.94</v>
      </c>
      <c r="F16" s="9">
        <f t="shared" si="9"/>
        <v>0.57321</v>
      </c>
      <c r="G16" s="10">
        <f t="shared" si="10"/>
        <v>2.3900000000000006</v>
      </c>
      <c r="H16" s="9">
        <f t="shared" si="11"/>
        <v>0.75887215010171505</v>
      </c>
      <c r="I16" s="15">
        <f t="shared" si="12"/>
        <v>989.98333333327901</v>
      </c>
      <c r="J16" s="16">
        <f t="shared" si="13"/>
        <v>1.6666666666666666E-2</v>
      </c>
      <c r="K16" s="17">
        <f t="shared" si="0"/>
        <v>0.99998599314153114</v>
      </c>
      <c r="L16" s="9">
        <f t="shared" si="14"/>
        <v>1.6835064447913027E-5</v>
      </c>
      <c r="M16" s="10">
        <f t="shared" si="1"/>
        <v>1.1950083691565483</v>
      </c>
      <c r="N16" s="9">
        <f t="shared" si="2"/>
        <v>0.37943873295651853</v>
      </c>
      <c r="O16" s="10">
        <f t="shared" si="3"/>
        <v>1.1949916308434525</v>
      </c>
      <c r="P16" s="9">
        <f t="shared" si="4"/>
        <v>0.37943341874523057</v>
      </c>
      <c r="Q16" s="10">
        <f t="shared" si="15"/>
        <v>2.3900000000000006</v>
      </c>
      <c r="R16" s="10">
        <v>0.88490000000000002</v>
      </c>
      <c r="S16" s="9">
        <v>1.4142135623730951E-4</v>
      </c>
      <c r="T16" s="10">
        <f t="shared" si="5"/>
        <v>1.3504445351526142</v>
      </c>
      <c r="U16" s="9">
        <f t="shared" si="16"/>
        <v>0.42879283650087302</v>
      </c>
      <c r="V16" s="10">
        <f>SUM($T$2:T16)</f>
        <v>769.56862579081394</v>
      </c>
      <c r="W16" s="9">
        <f>SQRT((U16^2)+(U15^2)+(U14^2)+(U13^2)+(U12^2)+(U11^2)+(U10^2)+(U9^2)+(U8^2)+(U7^2)+(U6^2)+(U5^2)+(U4^2)+(U3^2)+(U2^2))</f>
        <v>4.039729312614079</v>
      </c>
      <c r="X16" s="10">
        <f t="shared" si="17"/>
        <v>1.9916806152609139E-2</v>
      </c>
      <c r="Y16" s="9">
        <f t="shared" si="18"/>
        <v>6.3239788826086425E-3</v>
      </c>
      <c r="Z16" s="9">
        <f t="shared" si="19"/>
        <v>3.9992708907680055E-5</v>
      </c>
      <c r="AA16" s="10">
        <f t="shared" si="6"/>
        <v>1064.983333333279</v>
      </c>
      <c r="AB16" s="17">
        <f t="shared" si="7"/>
        <v>0.99707829432350426</v>
      </c>
      <c r="AC16" s="10">
        <f t="shared" si="8"/>
        <v>1.9975167713506645E-2</v>
      </c>
    </row>
    <row r="17" spans="1:29" ht="15.75" thickBot="1" x14ac:dyDescent="0.3">
      <c r="A17" s="20" t="s">
        <v>25</v>
      </c>
      <c r="B17" s="18">
        <v>43259.625</v>
      </c>
      <c r="C17" s="12">
        <v>43300.897222222222</v>
      </c>
      <c r="D17" s="13">
        <v>7.26</v>
      </c>
      <c r="E17" s="14">
        <v>6.85</v>
      </c>
      <c r="F17" s="9">
        <f t="shared" si="9"/>
        <v>0.49730999999999992</v>
      </c>
      <c r="G17" s="10">
        <f t="shared" si="10"/>
        <v>0</v>
      </c>
      <c r="H17" s="9">
        <f t="shared" si="11"/>
        <v>0.7033025467037638</v>
      </c>
      <c r="I17" s="15">
        <f t="shared" si="12"/>
        <v>990.53333333332557</v>
      </c>
      <c r="J17" s="16">
        <f t="shared" si="13"/>
        <v>1.6666666666666666E-2</v>
      </c>
      <c r="K17" s="17">
        <f t="shared" si="0"/>
        <v>0.99998607984030519</v>
      </c>
      <c r="L17" s="9">
        <f t="shared" si="14"/>
        <v>1.6825718128959367E-5</v>
      </c>
      <c r="M17" s="10">
        <f t="shared" si="1"/>
        <v>0</v>
      </c>
      <c r="N17" s="9" t="e">
        <f t="shared" si="2"/>
        <v>#DIV/0!</v>
      </c>
      <c r="O17" s="10">
        <f t="shared" si="3"/>
        <v>0</v>
      </c>
      <c r="P17" s="9" t="e">
        <f t="shared" si="4"/>
        <v>#DIV/0!</v>
      </c>
      <c r="Q17" s="10">
        <f t="shared" si="15"/>
        <v>0</v>
      </c>
      <c r="R17" s="10"/>
      <c r="S17" s="9"/>
      <c r="T17" s="10"/>
      <c r="U17" s="10"/>
      <c r="V17" s="10"/>
      <c r="W17" s="10"/>
      <c r="X17" s="10">
        <f t="shared" si="17"/>
        <v>0</v>
      </c>
      <c r="Y17" s="10"/>
      <c r="Z17" s="10"/>
      <c r="AA17" s="10"/>
      <c r="AB17" s="10"/>
      <c r="AC17" s="10"/>
    </row>
    <row r="18" spans="1:29" x14ac:dyDescent="0.25">
      <c r="C18" s="1"/>
    </row>
    <row r="22" spans="1:29" x14ac:dyDescent="0.25">
      <c r="Y22" s="11" t="s">
        <v>48</v>
      </c>
    </row>
    <row r="23" spans="1:29" x14ac:dyDescent="0.25">
      <c r="W23" t="s">
        <v>47</v>
      </c>
      <c r="X23" s="2">
        <f>SUM(X2:X17)</f>
        <v>11.734252578334617</v>
      </c>
      <c r="Y23" s="2">
        <f>SQRT(SUM(Z2:Z16))</f>
        <v>6.1891591398521323E-2</v>
      </c>
      <c r="Z23" s="2"/>
      <c r="AA23" s="2"/>
      <c r="AB23" s="2"/>
      <c r="AC23">
        <f>SUM(AC2:AC16)</f>
        <v>11.768509941083279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CT9R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2021-06-15T16:48:46Z</dcterms:modified>
</cp:coreProperties>
</file>